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tt-my.sharepoint.com/personal/bnp25_pitt_edu/Documents/Documents/Fellowships &amp; Grants/F30 Application/Resubmission/"/>
    </mc:Choice>
  </mc:AlternateContent>
  <xr:revisionPtr revIDLastSave="7" documentId="8_{386CAEE9-4F5A-C14B-B942-8294592A4CCF}" xr6:coauthVersionLast="45" xr6:coauthVersionMax="45" xr10:uidLastSave="{00E161C1-CFF8-654B-8AE8-B344B77A4A03}"/>
  <bookViews>
    <workbookView xWindow="5940" yWindow="500" windowWidth="23480" windowHeight="199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E9" i="1" l="1"/>
  <c r="F9" i="1"/>
  <c r="D9" i="1"/>
  <c r="C9" i="1"/>
  <c r="E13" i="1" l="1"/>
  <c r="C17" i="1"/>
  <c r="E17" i="1"/>
  <c r="F17" i="1"/>
  <c r="F10" i="1"/>
  <c r="J44" i="1"/>
  <c r="D18" i="1" l="1"/>
  <c r="D19" i="1" s="1"/>
  <c r="E12" i="1"/>
  <c r="E26" i="1" s="1"/>
  <c r="D29" i="1"/>
  <c r="C29" i="1"/>
  <c r="C16" i="1"/>
  <c r="C23" i="1"/>
  <c r="E16" i="1"/>
  <c r="C10" i="1"/>
  <c r="C12" i="1"/>
  <c r="D12" i="1"/>
  <c r="B16" i="1"/>
  <c r="F12" i="1" l="1"/>
  <c r="B7" i="1"/>
  <c r="C7" i="1" s="1"/>
  <c r="H31" i="1"/>
  <c r="H29" i="1"/>
  <c r="C32" i="1"/>
  <c r="D32" i="1"/>
  <c r="G32" i="1"/>
  <c r="B32" i="1"/>
  <c r="G26" i="1"/>
  <c r="F26" i="1"/>
  <c r="D26" i="1"/>
  <c r="C6" i="1"/>
  <c r="C26" i="1"/>
  <c r="B26" i="1"/>
  <c r="H9" i="1"/>
  <c r="B17" i="1"/>
  <c r="B46" i="1"/>
  <c r="E44" i="1" s="1"/>
  <c r="F44" i="1" s="1"/>
  <c r="H44" i="1" s="1"/>
  <c r="I44" i="1" s="1"/>
  <c r="B13" i="1"/>
  <c r="B19" i="1"/>
  <c r="H12" i="1"/>
  <c r="H26" i="1" s="1"/>
  <c r="D13" i="1"/>
  <c r="C13" i="1"/>
  <c r="F24" i="1"/>
  <c r="H10" i="1"/>
  <c r="C24" i="1"/>
  <c r="G24" i="1"/>
  <c r="G13" i="1"/>
  <c r="F13" i="1"/>
  <c r="F16" i="1"/>
  <c r="F23" i="1"/>
  <c r="F18" i="1"/>
  <c r="G23" i="1"/>
  <c r="F19" i="1" l="1"/>
  <c r="F27" i="1"/>
  <c r="E30" i="1"/>
  <c r="K44" i="1"/>
  <c r="F30" i="1" s="1"/>
  <c r="F32" i="1" s="1"/>
  <c r="B27" i="1"/>
  <c r="D7" i="1"/>
  <c r="E6" i="1" s="1"/>
  <c r="D6" i="1"/>
  <c r="E23" i="1"/>
  <c r="E27" i="1" s="1"/>
  <c r="E18" i="1"/>
  <c r="E19" i="1" s="1"/>
  <c r="H17" i="1"/>
  <c r="H24" i="1" s="1"/>
  <c r="C19" i="1"/>
  <c r="D23" i="1"/>
  <c r="G27" i="1"/>
  <c r="H13" i="1"/>
  <c r="C27" i="1"/>
  <c r="H16" i="1"/>
  <c r="E7" i="1" l="1"/>
  <c r="F7" i="1" s="1"/>
  <c r="F6" i="1"/>
  <c r="E32" i="1"/>
  <c r="H32" i="1" s="1"/>
  <c r="H30" i="1"/>
  <c r="D24" i="1"/>
  <c r="D27" i="1" s="1"/>
  <c r="H19" i="1"/>
  <c r="H23" i="1"/>
  <c r="H27" i="1" s="1"/>
</calcChain>
</file>

<file path=xl/sharedStrings.xml><?xml version="1.0" encoding="utf-8"?>
<sst xmlns="http://schemas.openxmlformats.org/spreadsheetml/2006/main" count="68" uniqueCount="50">
  <si>
    <t>Stipend</t>
  </si>
  <si>
    <t>Other Fellowship Expenses</t>
  </si>
  <si>
    <t>Institutional Allowance</t>
  </si>
  <si>
    <t>Year 1</t>
  </si>
  <si>
    <t>Total Cost</t>
  </si>
  <si>
    <t>(Tuition and Fees)</t>
  </si>
  <si>
    <t>Year 3</t>
  </si>
  <si>
    <t>Year 4</t>
  </si>
  <si>
    <t>Training Period Budget</t>
  </si>
  <si>
    <t>Notes:</t>
  </si>
  <si>
    <t>Graduate School Years: Academic year is 3 terms (fall, spring and summer)</t>
  </si>
  <si>
    <t>Medical School Years: Academic year is 2 terms (fall and spring)</t>
  </si>
  <si>
    <t>These Tuition numbers should be dependent on your department, please update!</t>
  </si>
  <si>
    <t>Out-Of-State Tuition and Fees</t>
  </si>
  <si>
    <t>Tuition</t>
  </si>
  <si>
    <t>Fees</t>
  </si>
  <si>
    <t>Total</t>
  </si>
  <si>
    <t>Students Name</t>
  </si>
  <si>
    <t>Submission Deadline</t>
  </si>
  <si>
    <t>2019 - 2020</t>
  </si>
  <si>
    <t>BaDoi, Phan</t>
  </si>
  <si>
    <t>Total  Project Period</t>
  </si>
  <si>
    <t xml:space="preserve">BaDoi was appointed to MSTP T32 for 13 months </t>
  </si>
  <si>
    <t>Stipend Cap ($25,320)</t>
  </si>
  <si>
    <t>Tuition &amp; Fees Cap ($21,000)</t>
  </si>
  <si>
    <t>Transfer to PITT</t>
  </si>
  <si>
    <t>MD Training Tuition and Fees Breakdown (@ PITT)</t>
  </si>
  <si>
    <t>PITT tuition</t>
  </si>
  <si>
    <t>CMU Cost sharing</t>
  </si>
  <si>
    <t>NIH budget</t>
  </si>
  <si>
    <t>Stipend @ Cap</t>
  </si>
  <si>
    <t>Other Fellowship Expenses (Tuition and Fees)</t>
  </si>
  <si>
    <t>PITT Cost Sharing</t>
  </si>
  <si>
    <t>Year 5</t>
  </si>
  <si>
    <t>Total Cost Sharing</t>
  </si>
  <si>
    <t xml:space="preserve">Total Cost </t>
  </si>
  <si>
    <t>NIH budget submitted</t>
  </si>
  <si>
    <t xml:space="preserve">Year 5 </t>
  </si>
  <si>
    <t>PhD Training (1.92 Years) @ CMU</t>
  </si>
  <si>
    <t>Year 2 
(First 11 months)</t>
  </si>
  <si>
    <t>Year 2
(Last 1 month)</t>
  </si>
  <si>
    <t>Indirect Cost @ 55.4%</t>
  </si>
  <si>
    <t>MD Training (2.08 Years)</t>
  </si>
  <si>
    <t>FY22</t>
  </si>
  <si>
    <t>FY23</t>
  </si>
  <si>
    <t>FY24</t>
  </si>
  <si>
    <t>FY25</t>
  </si>
  <si>
    <t>FY20</t>
  </si>
  <si>
    <t>FY21</t>
  </si>
  <si>
    <t>CMU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</si>
</sst>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DashDot">
        <color indexed="64"/>
      </left>
      <right style="thin">
        <color indexed="64"/>
      </right>
      <top style="double">
        <color indexed="64"/>
      </top>
      <bottom/>
      <diagonal/>
    </border>
    <border>
      <left style="mediumDashDot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/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justify" vertical="center"/>
    </xf>
    <xf numFmtId="6" fontId="3" fillId="0" borderId="3" xfId="0" applyNumberFormat="1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6" fontId="5" fillId="0" borderId="3" xfId="0" applyNumberFormat="1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6" fontId="0" fillId="0" borderId="10" xfId="0" applyNumberFormat="1" applyBorder="1"/>
    <xf numFmtId="8" fontId="0" fillId="0" borderId="0" xfId="0" applyNumberFormat="1" applyBorder="1"/>
    <xf numFmtId="8" fontId="0" fillId="0" borderId="11" xfId="0" applyNumberFormat="1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3" fontId="3" fillId="0" borderId="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14" fontId="3" fillId="0" borderId="19" xfId="0" applyNumberFormat="1" applyFont="1" applyBorder="1" applyAlignment="1">
      <alignment horizontal="center" vertical="center"/>
    </xf>
    <xf numFmtId="0" fontId="2" fillId="0" borderId="10" xfId="0" applyFont="1" applyBorder="1"/>
    <xf numFmtId="0" fontId="2" fillId="0" borderId="0" xfId="0" applyFont="1" applyBorder="1"/>
    <xf numFmtId="0" fontId="2" fillId="0" borderId="11" xfId="0" applyFont="1" applyBorder="1"/>
    <xf numFmtId="3" fontId="5" fillId="3" borderId="8" xfId="0" applyNumberFormat="1" applyFont="1" applyFill="1" applyBorder="1" applyAlignment="1">
      <alignment horizontal="center" vertical="center"/>
    </xf>
    <xf numFmtId="3" fontId="5" fillId="3" borderId="20" xfId="0" applyNumberFormat="1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23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horizontal="center" vertical="center"/>
    </xf>
    <xf numFmtId="3" fontId="3" fillId="3" borderId="31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="110" zoomScaleNormal="11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18" sqref="B18"/>
    </sheetView>
  </sheetViews>
  <sheetFormatPr baseColWidth="10" defaultColWidth="8.83203125" defaultRowHeight="13" x14ac:dyDescent="0.15"/>
  <cols>
    <col min="1" max="1" width="28" customWidth="1"/>
    <col min="2" max="2" width="20.6640625" customWidth="1"/>
    <col min="3" max="3" width="16" customWidth="1"/>
    <col min="4" max="6" width="20.6640625" customWidth="1"/>
    <col min="7" max="7" width="17" hidden="1" customWidth="1"/>
    <col min="8" max="8" width="20.6640625" customWidth="1"/>
    <col min="9" max="9" width="15.5" customWidth="1"/>
    <col min="10" max="10" width="15" customWidth="1"/>
    <col min="11" max="11" width="10.83203125" bestFit="1" customWidth="1"/>
  </cols>
  <sheetData>
    <row r="1" spans="1:9" ht="14" x14ac:dyDescent="0.15">
      <c r="A1" s="6" t="s">
        <v>17</v>
      </c>
      <c r="B1" s="6" t="s">
        <v>20</v>
      </c>
      <c r="C1" s="6"/>
      <c r="D1" s="6"/>
      <c r="E1" s="1"/>
      <c r="F1" s="1"/>
      <c r="G1" s="1"/>
      <c r="H1" s="1"/>
      <c r="I1" s="1"/>
    </row>
    <row r="2" spans="1:9" ht="14" x14ac:dyDescent="0.15">
      <c r="A2" s="6" t="s">
        <v>18</v>
      </c>
      <c r="B2" s="64">
        <v>44173</v>
      </c>
      <c r="C2" s="6"/>
      <c r="D2" s="6"/>
      <c r="E2" s="1"/>
      <c r="F2" s="1"/>
      <c r="G2" s="1"/>
      <c r="H2" s="1"/>
      <c r="I2" s="1"/>
    </row>
    <row r="3" spans="1:9" ht="14" x14ac:dyDescent="0.15">
      <c r="A3" s="1"/>
      <c r="B3" s="106" t="s">
        <v>49</v>
      </c>
      <c r="C3" s="107"/>
      <c r="D3" s="103" t="s">
        <v>25</v>
      </c>
      <c r="E3" s="104"/>
      <c r="F3" s="105"/>
      <c r="G3" s="1"/>
      <c r="H3" s="1"/>
      <c r="I3" s="1"/>
    </row>
    <row r="4" spans="1:9" ht="14" x14ac:dyDescent="0.15">
      <c r="A4" s="108" t="s">
        <v>8</v>
      </c>
      <c r="B4" s="114" t="s">
        <v>38</v>
      </c>
      <c r="C4" s="115"/>
      <c r="D4" s="116" t="s">
        <v>42</v>
      </c>
      <c r="E4" s="117"/>
      <c r="F4" s="118"/>
      <c r="G4" s="50"/>
      <c r="H4" s="110" t="s">
        <v>21</v>
      </c>
    </row>
    <row r="5" spans="1:9" ht="28.25" customHeight="1" x14ac:dyDescent="0.15">
      <c r="A5" s="109"/>
      <c r="B5" s="3" t="s">
        <v>3</v>
      </c>
      <c r="C5" s="59" t="s">
        <v>39</v>
      </c>
      <c r="D5" s="60" t="s">
        <v>40</v>
      </c>
      <c r="E5" s="58" t="s">
        <v>6</v>
      </c>
      <c r="F5" s="26" t="s">
        <v>7</v>
      </c>
      <c r="G5" s="20" t="s">
        <v>37</v>
      </c>
      <c r="H5" s="111"/>
    </row>
    <row r="6" spans="1:9" ht="14" x14ac:dyDescent="0.15">
      <c r="A6" s="46"/>
      <c r="B6" s="79">
        <v>44378</v>
      </c>
      <c r="C6" s="80">
        <f>B6+365</f>
        <v>44743</v>
      </c>
      <c r="D6" s="61">
        <f>C7+1</f>
        <v>45078</v>
      </c>
      <c r="E6" s="49">
        <f>D7+1</f>
        <v>45108</v>
      </c>
      <c r="F6" s="48">
        <f>E6+365+1</f>
        <v>45474</v>
      </c>
      <c r="G6" s="54"/>
      <c r="H6" s="47"/>
    </row>
    <row r="7" spans="1:9" ht="14" x14ac:dyDescent="0.15">
      <c r="A7" s="46"/>
      <c r="B7" s="81">
        <f>B6+364</f>
        <v>44742</v>
      </c>
      <c r="C7" s="82">
        <f>B7+365-30</f>
        <v>45077</v>
      </c>
      <c r="D7" s="65">
        <f>C7+30</f>
        <v>45107</v>
      </c>
      <c r="E7" s="48">
        <f>E6+365</f>
        <v>45473</v>
      </c>
      <c r="F7" s="48">
        <f>E7+365</f>
        <v>45838</v>
      </c>
      <c r="G7" s="53"/>
      <c r="H7" s="47"/>
    </row>
    <row r="8" spans="1:9" ht="15" thickBot="1" x14ac:dyDescent="0.2">
      <c r="A8" s="46"/>
      <c r="B8" s="83" t="s">
        <v>43</v>
      </c>
      <c r="C8" s="84" t="s">
        <v>44</v>
      </c>
      <c r="D8" s="75" t="s">
        <v>44</v>
      </c>
      <c r="E8" s="75" t="s">
        <v>45</v>
      </c>
      <c r="F8" s="75" t="s">
        <v>46</v>
      </c>
      <c r="G8" s="47"/>
      <c r="H8" s="47"/>
    </row>
    <row r="9" spans="1:9" ht="15" thickTop="1" x14ac:dyDescent="0.15">
      <c r="A9" s="4" t="s">
        <v>0</v>
      </c>
      <c r="B9" s="40">
        <v>37302</v>
      </c>
      <c r="C9" s="63">
        <f>B9*1.03/12*11</f>
        <v>35219.304999999993</v>
      </c>
      <c r="D9" s="93">
        <f>(30855*1.03^3 + 3000)/12*1</f>
        <v>3059.6742987500002</v>
      </c>
      <c r="E9" s="94">
        <f>30855*1.03^4 + 3000</f>
        <v>37727.574332550001</v>
      </c>
      <c r="F9" s="94">
        <f>30855*1.03^5 + 3000</f>
        <v>38769.401562526495</v>
      </c>
      <c r="G9" s="12">
        <v>0</v>
      </c>
      <c r="H9" s="76">
        <f>SUM(B9:G9)</f>
        <v>152077.95519382649</v>
      </c>
    </row>
    <row r="10" spans="1:9" ht="14" x14ac:dyDescent="0.15">
      <c r="A10" s="8" t="s">
        <v>1</v>
      </c>
      <c r="B10" s="120">
        <v>46606</v>
      </c>
      <c r="C10" s="121">
        <f>B10*1.03</f>
        <v>48004.18</v>
      </c>
      <c r="D10" s="122">
        <v>0</v>
      </c>
      <c r="E10" s="123">
        <v>74051.070000000007</v>
      </c>
      <c r="F10" s="123">
        <f>77753.63</f>
        <v>77753.63</v>
      </c>
      <c r="G10" s="11">
        <v>0</v>
      </c>
      <c r="H10" s="119">
        <f>SUM(B10:G10)</f>
        <v>246414.88</v>
      </c>
    </row>
    <row r="11" spans="1:9" ht="14" x14ac:dyDescent="0.15">
      <c r="A11" s="9" t="s">
        <v>5</v>
      </c>
      <c r="B11" s="120"/>
      <c r="C11" s="121"/>
      <c r="D11" s="122"/>
      <c r="E11" s="123"/>
      <c r="F11" s="123"/>
      <c r="G11" s="13"/>
      <c r="H11" s="119"/>
    </row>
    <row r="12" spans="1:9" ht="15" customHeight="1" x14ac:dyDescent="0.15">
      <c r="A12" s="9" t="s">
        <v>2</v>
      </c>
      <c r="B12" s="40">
        <v>4200</v>
      </c>
      <c r="C12" s="63">
        <f>4200/12*11</f>
        <v>3850</v>
      </c>
      <c r="D12" s="95">
        <f>4200/12*1</f>
        <v>350</v>
      </c>
      <c r="E12" s="94">
        <f>4200</f>
        <v>4200</v>
      </c>
      <c r="F12" s="94">
        <f>E12</f>
        <v>4200</v>
      </c>
      <c r="G12" s="72">
        <v>0</v>
      </c>
      <c r="H12" s="74">
        <f>SUM(B12:G12)</f>
        <v>16800</v>
      </c>
    </row>
    <row r="13" spans="1:9" ht="15" thickBot="1" x14ac:dyDescent="0.2">
      <c r="A13" s="5" t="s">
        <v>4</v>
      </c>
      <c r="B13" s="85">
        <f t="shared" ref="B13:H13" si="0">SUM(B9:B12)</f>
        <v>88108</v>
      </c>
      <c r="C13" s="86">
        <f t="shared" si="0"/>
        <v>87073.484999999986</v>
      </c>
      <c r="D13" s="96">
        <f t="shared" si="0"/>
        <v>3409.6742987500002</v>
      </c>
      <c r="E13" s="97">
        <f>SUM(E9:E12)</f>
        <v>115978.64433255</v>
      </c>
      <c r="F13" s="98">
        <f t="shared" si="0"/>
        <v>120723.03156252651</v>
      </c>
      <c r="G13" s="85">
        <f t="shared" si="0"/>
        <v>0</v>
      </c>
      <c r="H13" s="85">
        <f t="shared" si="0"/>
        <v>415292.83519382647</v>
      </c>
    </row>
    <row r="14" spans="1:9" ht="15" thickTop="1" x14ac:dyDescent="0.15">
      <c r="A14" s="27"/>
      <c r="B14" s="28"/>
      <c r="C14" s="28"/>
      <c r="D14" s="28"/>
      <c r="E14" s="28"/>
      <c r="F14" s="28"/>
      <c r="G14" s="28"/>
      <c r="H14" s="28"/>
    </row>
    <row r="15" spans="1:9" ht="14" x14ac:dyDescent="0.15">
      <c r="A15" s="45" t="s">
        <v>28</v>
      </c>
      <c r="B15" s="39"/>
      <c r="C15" s="44"/>
      <c r="D15" s="70" t="s">
        <v>32</v>
      </c>
      <c r="E15" s="69"/>
      <c r="F15" s="52"/>
      <c r="G15" s="52"/>
      <c r="H15" s="39"/>
    </row>
    <row r="16" spans="1:9" ht="14" x14ac:dyDescent="0.15">
      <c r="A16" s="42" t="s">
        <v>23</v>
      </c>
      <c r="B16" s="40">
        <f>B9-25320</f>
        <v>11982</v>
      </c>
      <c r="C16" s="28">
        <f>((B9*1.03)/12*11)-25320</f>
        <v>9899.304999999993</v>
      </c>
      <c r="D16" s="99">
        <v>0</v>
      </c>
      <c r="E16" s="100">
        <f>E9-(25320)</f>
        <v>12407.574332550001</v>
      </c>
      <c r="F16" s="100">
        <f>F9-25320</f>
        <v>13449.401562526495</v>
      </c>
      <c r="G16" s="51"/>
      <c r="H16" s="40">
        <f>SUM(B16:G16)</f>
        <v>47738.280895076488</v>
      </c>
    </row>
    <row r="17" spans="1:9" ht="14" x14ac:dyDescent="0.15">
      <c r="A17" s="42" t="s">
        <v>24</v>
      </c>
      <c r="B17" s="40">
        <f>B10-21000</f>
        <v>25606</v>
      </c>
      <c r="C17" s="28">
        <f>C10-(21000)</f>
        <v>27004.18</v>
      </c>
      <c r="D17" s="100">
        <v>0</v>
      </c>
      <c r="E17" s="100">
        <f t="shared" ref="E17" si="1">E10-21000</f>
        <v>53051.070000000007</v>
      </c>
      <c r="F17" s="100">
        <f>F10-21000</f>
        <v>56753.630000000005</v>
      </c>
      <c r="G17" s="51"/>
      <c r="H17" s="40">
        <f>SUM(B17:G17)</f>
        <v>162414.88</v>
      </c>
      <c r="I17" s="55"/>
    </row>
    <row r="18" spans="1:9" ht="14" x14ac:dyDescent="0.15">
      <c r="A18" s="42" t="s">
        <v>41</v>
      </c>
      <c r="B18" s="40">
        <v>0</v>
      </c>
      <c r="C18" s="28">
        <v>0</v>
      </c>
      <c r="D18" s="99">
        <f>D16*0.568</f>
        <v>0</v>
      </c>
      <c r="E18" s="100">
        <f>E16*0.568</f>
        <v>7047.5022208884002</v>
      </c>
      <c r="F18" s="100">
        <f>F16*0.568</f>
        <v>7639.2600875150483</v>
      </c>
      <c r="G18" s="51"/>
      <c r="H18" s="40">
        <v>0</v>
      </c>
      <c r="I18" s="55"/>
    </row>
    <row r="19" spans="1:9" ht="15" thickBot="1" x14ac:dyDescent="0.2">
      <c r="A19" s="41" t="s">
        <v>34</v>
      </c>
      <c r="B19" s="85">
        <f t="shared" ref="B19:H19" si="2">SUM(B16:B18)</f>
        <v>37588</v>
      </c>
      <c r="C19" s="87">
        <f t="shared" si="2"/>
        <v>36903.484999999993</v>
      </c>
      <c r="D19" s="101">
        <f t="shared" ref="D19" si="3">SUM(D16:D18)</f>
        <v>0</v>
      </c>
      <c r="E19" s="102">
        <f t="shared" si="2"/>
        <v>72506.146553438404</v>
      </c>
      <c r="F19" s="102">
        <f t="shared" si="2"/>
        <v>77842.291650041559</v>
      </c>
      <c r="G19" s="88"/>
      <c r="H19" s="85">
        <f t="shared" si="2"/>
        <v>210153.16089507649</v>
      </c>
      <c r="I19" s="55"/>
    </row>
    <row r="20" spans="1:9" ht="15" thickTop="1" x14ac:dyDescent="0.15">
      <c r="A20" s="27"/>
      <c r="B20" s="28"/>
      <c r="C20" s="28"/>
      <c r="D20" s="28"/>
      <c r="E20" s="28"/>
      <c r="F20" s="28"/>
      <c r="G20" s="28"/>
      <c r="H20" s="28"/>
    </row>
    <row r="21" spans="1:9" ht="14" x14ac:dyDescent="0.15">
      <c r="A21" s="112" t="s">
        <v>29</v>
      </c>
      <c r="B21" s="114" t="s">
        <v>38</v>
      </c>
      <c r="C21" s="115"/>
      <c r="D21" s="117" t="s">
        <v>42</v>
      </c>
      <c r="E21" s="117"/>
      <c r="F21" s="118"/>
      <c r="G21" s="50"/>
      <c r="H21" s="110" t="s">
        <v>21</v>
      </c>
    </row>
    <row r="22" spans="1:9" ht="37.75" customHeight="1" x14ac:dyDescent="0.15">
      <c r="A22" s="113"/>
      <c r="B22" s="3" t="s">
        <v>3</v>
      </c>
      <c r="C22" s="59" t="s">
        <v>39</v>
      </c>
      <c r="D22" s="60" t="s">
        <v>40</v>
      </c>
      <c r="E22" s="58" t="s">
        <v>6</v>
      </c>
      <c r="F22" s="26" t="s">
        <v>7</v>
      </c>
      <c r="G22" s="26" t="s">
        <v>33</v>
      </c>
      <c r="H22" s="111"/>
    </row>
    <row r="23" spans="1:9" ht="14" x14ac:dyDescent="0.15">
      <c r="A23" s="4" t="s">
        <v>30</v>
      </c>
      <c r="B23" s="39">
        <f>B9-B16</f>
        <v>25320</v>
      </c>
      <c r="C23" s="11">
        <f>(C9-C16)/12*11</f>
        <v>23210</v>
      </c>
      <c r="D23" s="71">
        <f t="shared" ref="B23:H24" si="4">D9-D16</f>
        <v>3059.6742987500002</v>
      </c>
      <c r="E23" s="39">
        <f t="shared" si="4"/>
        <v>25320</v>
      </c>
      <c r="F23" s="39">
        <f t="shared" si="4"/>
        <v>25320</v>
      </c>
      <c r="G23" s="10">
        <f t="shared" si="4"/>
        <v>0</v>
      </c>
      <c r="H23" s="39">
        <f t="shared" si="4"/>
        <v>104339.67429875</v>
      </c>
    </row>
    <row r="24" spans="1:9" ht="13.75" customHeight="1" x14ac:dyDescent="0.15">
      <c r="A24" s="124" t="s">
        <v>31</v>
      </c>
      <c r="B24" s="120">
        <f>B10-B17</f>
        <v>21000</v>
      </c>
      <c r="C24" s="121">
        <f t="shared" si="4"/>
        <v>21000</v>
      </c>
      <c r="D24" s="126">
        <f t="shared" si="4"/>
        <v>0</v>
      </c>
      <c r="E24" s="120">
        <v>21000</v>
      </c>
      <c r="F24" s="120">
        <f t="shared" si="4"/>
        <v>21000</v>
      </c>
      <c r="G24" s="127">
        <f t="shared" si="4"/>
        <v>0</v>
      </c>
      <c r="H24" s="120">
        <f t="shared" si="4"/>
        <v>84000</v>
      </c>
    </row>
    <row r="25" spans="1:9" ht="13.75" customHeight="1" x14ac:dyDescent="0.15">
      <c r="A25" s="125"/>
      <c r="B25" s="120"/>
      <c r="C25" s="121"/>
      <c r="D25" s="126"/>
      <c r="E25" s="120"/>
      <c r="F25" s="120"/>
      <c r="G25" s="128"/>
      <c r="H25" s="120"/>
    </row>
    <row r="26" spans="1:9" ht="14" x14ac:dyDescent="0.15">
      <c r="A26" s="9" t="s">
        <v>2</v>
      </c>
      <c r="B26" s="40">
        <f t="shared" ref="B26:H26" si="5">B12</f>
        <v>4200</v>
      </c>
      <c r="C26" s="63">
        <f t="shared" si="5"/>
        <v>3850</v>
      </c>
      <c r="D26" s="77">
        <f t="shared" si="5"/>
        <v>350</v>
      </c>
      <c r="E26" s="40">
        <f>E12</f>
        <v>4200</v>
      </c>
      <c r="F26" s="40">
        <f t="shared" si="5"/>
        <v>4200</v>
      </c>
      <c r="G26" s="40">
        <f t="shared" si="5"/>
        <v>0</v>
      </c>
      <c r="H26" s="40">
        <f t="shared" si="5"/>
        <v>16800</v>
      </c>
    </row>
    <row r="27" spans="1:9" ht="15" thickBot="1" x14ac:dyDescent="0.2">
      <c r="A27" s="5" t="s">
        <v>4</v>
      </c>
      <c r="B27" s="89">
        <f t="shared" ref="B27:H27" si="6">SUM(B23:B26)</f>
        <v>50520</v>
      </c>
      <c r="C27" s="90">
        <f t="shared" si="6"/>
        <v>48060</v>
      </c>
      <c r="D27" s="91">
        <f t="shared" si="6"/>
        <v>3409.6742987500002</v>
      </c>
      <c r="E27" s="89">
        <f t="shared" si="6"/>
        <v>50520</v>
      </c>
      <c r="F27" s="89">
        <f t="shared" si="6"/>
        <v>50520</v>
      </c>
      <c r="G27" s="89">
        <f t="shared" si="6"/>
        <v>0</v>
      </c>
      <c r="H27" s="89">
        <f t="shared" si="6"/>
        <v>205139.67429875</v>
      </c>
      <c r="I27" s="2"/>
    </row>
    <row r="28" spans="1:9" ht="15" thickTop="1" x14ac:dyDescent="0.15">
      <c r="A28" s="57" t="s">
        <v>36</v>
      </c>
      <c r="B28" s="28"/>
      <c r="C28" s="28"/>
      <c r="D28" s="28"/>
      <c r="E28" s="28"/>
      <c r="F28" s="28"/>
      <c r="G28" s="28"/>
      <c r="H28" s="28"/>
      <c r="I28" s="2"/>
    </row>
    <row r="29" spans="1:9" ht="14" x14ac:dyDescent="0.15">
      <c r="A29" s="78" t="s">
        <v>30</v>
      </c>
      <c r="B29" s="39">
        <v>25320</v>
      </c>
      <c r="C29" s="73">
        <f>25320/12*11</f>
        <v>23210</v>
      </c>
      <c r="D29" s="71">
        <f>25320/12*1</f>
        <v>2110</v>
      </c>
      <c r="E29" s="39">
        <v>25320</v>
      </c>
      <c r="F29" s="39">
        <v>25320</v>
      </c>
      <c r="G29" s="10"/>
      <c r="H29" s="39">
        <f>SUM(B29:G29)</f>
        <v>101280</v>
      </c>
    </row>
    <row r="30" spans="1:9" ht="14" x14ac:dyDescent="0.15">
      <c r="A30" s="56" t="s">
        <v>1</v>
      </c>
      <c r="B30" s="40">
        <v>46606</v>
      </c>
      <c r="C30" s="63">
        <v>48004.18</v>
      </c>
      <c r="D30" s="62">
        <v>0</v>
      </c>
      <c r="E30" s="40">
        <f>J44</f>
        <v>74051.071762500011</v>
      </c>
      <c r="F30" s="40">
        <f>K44</f>
        <v>77753.625350625021</v>
      </c>
      <c r="G30" s="28"/>
      <c r="H30" s="40">
        <f>SUM(B30:G30)</f>
        <v>246414.87711312503</v>
      </c>
    </row>
    <row r="31" spans="1:9" ht="14" x14ac:dyDescent="0.15">
      <c r="A31" s="56" t="s">
        <v>2</v>
      </c>
      <c r="B31" s="40">
        <v>4200</v>
      </c>
      <c r="C31" s="63">
        <v>3850</v>
      </c>
      <c r="D31" s="62">
        <v>350</v>
      </c>
      <c r="E31" s="40">
        <v>4200</v>
      </c>
      <c r="F31" s="40">
        <v>4200</v>
      </c>
      <c r="G31" s="28"/>
      <c r="H31" s="40">
        <f>SUM(B31:G31)</f>
        <v>16800</v>
      </c>
    </row>
    <row r="32" spans="1:9" ht="15" thickBot="1" x14ac:dyDescent="0.2">
      <c r="A32" s="56" t="s">
        <v>35</v>
      </c>
      <c r="B32" s="85">
        <f t="shared" ref="B32:G32" si="7">SUM(B29:B31)</f>
        <v>76126</v>
      </c>
      <c r="C32" s="86">
        <f t="shared" si="7"/>
        <v>75064.179999999993</v>
      </c>
      <c r="D32" s="92">
        <f t="shared" si="7"/>
        <v>2460</v>
      </c>
      <c r="E32" s="85">
        <f>SUM(E29:E31)</f>
        <v>103571.07176250001</v>
      </c>
      <c r="F32" s="85">
        <f t="shared" si="7"/>
        <v>107273.62535062502</v>
      </c>
      <c r="G32" s="87">
        <f t="shared" si="7"/>
        <v>0</v>
      </c>
      <c r="H32" s="85">
        <f>SUM(B32:G32)</f>
        <v>364494.87711312505</v>
      </c>
    </row>
    <row r="33" spans="1:11" ht="15" thickTop="1" x14ac:dyDescent="0.15">
      <c r="A33" s="56"/>
      <c r="B33" s="28"/>
      <c r="C33" s="28"/>
      <c r="D33" s="28"/>
      <c r="E33" s="28"/>
      <c r="F33" s="28"/>
      <c r="G33" s="28"/>
      <c r="H33" s="28"/>
    </row>
    <row r="34" spans="1:11" ht="14" x14ac:dyDescent="0.15">
      <c r="A34" s="56"/>
      <c r="B34" s="28"/>
      <c r="C34" s="28"/>
      <c r="D34" s="28"/>
      <c r="E34" s="28"/>
      <c r="F34" s="28"/>
      <c r="G34" s="28"/>
      <c r="H34" s="28"/>
    </row>
    <row r="35" spans="1:11" x14ac:dyDescent="0.15">
      <c r="A35" s="43"/>
      <c r="B35" s="43"/>
      <c r="C35" s="43"/>
      <c r="D35" s="43"/>
      <c r="E35" s="43"/>
      <c r="F35" s="43"/>
      <c r="G35" s="43"/>
      <c r="H35" s="43"/>
      <c r="I35" s="2"/>
    </row>
    <row r="36" spans="1:11" x14ac:dyDescent="0.15">
      <c r="A36" s="7" t="s">
        <v>9</v>
      </c>
      <c r="B36" s="2"/>
      <c r="C36" s="2"/>
      <c r="D36" s="2"/>
      <c r="E36" s="2"/>
      <c r="F36" s="2"/>
      <c r="G36" s="2"/>
      <c r="H36" s="2"/>
      <c r="I36" s="2"/>
    </row>
    <row r="37" spans="1:11" x14ac:dyDescent="0.15">
      <c r="A37" s="21" t="s">
        <v>12</v>
      </c>
      <c r="B37" s="22"/>
      <c r="C37" s="23"/>
      <c r="D37" s="24"/>
      <c r="E37" s="24"/>
      <c r="F37" s="24"/>
      <c r="G37" s="24"/>
      <c r="H37" s="2"/>
      <c r="I37" s="2"/>
    </row>
    <row r="38" spans="1:11" x14ac:dyDescent="0.15">
      <c r="A38" s="21" t="s">
        <v>22</v>
      </c>
      <c r="B38" s="22"/>
      <c r="C38" s="23"/>
      <c r="D38" s="24"/>
      <c r="E38" s="24"/>
      <c r="F38" s="24"/>
      <c r="G38" s="24"/>
      <c r="H38" s="2"/>
      <c r="I38" s="2"/>
    </row>
    <row r="39" spans="1:11" x14ac:dyDescent="0.15">
      <c r="A39" s="6" t="s">
        <v>10</v>
      </c>
      <c r="D39" s="25"/>
      <c r="E39" s="25"/>
      <c r="F39" s="25"/>
      <c r="G39" s="25"/>
    </row>
    <row r="40" spans="1:11" x14ac:dyDescent="0.15">
      <c r="A40" s="6" t="s">
        <v>11</v>
      </c>
    </row>
    <row r="42" spans="1:11" x14ac:dyDescent="0.15">
      <c r="A42" s="14" t="s">
        <v>26</v>
      </c>
      <c r="B42" s="15"/>
      <c r="E42" s="29" t="s">
        <v>27</v>
      </c>
      <c r="F42" s="30"/>
      <c r="G42" s="30"/>
      <c r="H42" s="30"/>
      <c r="I42" s="30"/>
      <c r="J42" s="31"/>
      <c r="K42" s="31"/>
    </row>
    <row r="43" spans="1:11" ht="15" x14ac:dyDescent="0.15">
      <c r="A43" s="16" t="s">
        <v>13</v>
      </c>
      <c r="B43" s="15" t="s">
        <v>19</v>
      </c>
      <c r="E43" s="66" t="s">
        <v>47</v>
      </c>
      <c r="F43" s="67" t="s">
        <v>48</v>
      </c>
      <c r="G43" s="32"/>
      <c r="H43" s="67" t="s">
        <v>43</v>
      </c>
      <c r="I43" s="67" t="s">
        <v>44</v>
      </c>
      <c r="J43" s="68" t="s">
        <v>45</v>
      </c>
      <c r="K43" s="68" t="s">
        <v>46</v>
      </c>
    </row>
    <row r="44" spans="1:11" ht="15" x14ac:dyDescent="0.15">
      <c r="A44" s="16" t="s">
        <v>14</v>
      </c>
      <c r="B44" s="17">
        <v>59930</v>
      </c>
      <c r="E44" s="33">
        <f>B46</f>
        <v>60922</v>
      </c>
      <c r="F44" s="34">
        <f>E44*1.05</f>
        <v>63968.100000000006</v>
      </c>
      <c r="G44" s="34"/>
      <c r="H44" s="34">
        <f>F44*1.05</f>
        <v>67166.505000000005</v>
      </c>
      <c r="I44" s="34">
        <f>H44*1.05</f>
        <v>70524.830250000014</v>
      </c>
      <c r="J44" s="35">
        <f>I44*1.05</f>
        <v>74051.071762500011</v>
      </c>
      <c r="K44" s="35">
        <f>J44*1.05</f>
        <v>77753.625350625021</v>
      </c>
    </row>
    <row r="45" spans="1:11" ht="15" x14ac:dyDescent="0.15">
      <c r="A45" s="16" t="s">
        <v>15</v>
      </c>
      <c r="B45" s="17">
        <v>992</v>
      </c>
      <c r="E45" s="36"/>
      <c r="F45" s="37"/>
      <c r="G45" s="37"/>
      <c r="H45" s="37"/>
      <c r="I45" s="37"/>
      <c r="J45" s="38"/>
      <c r="K45" s="38"/>
    </row>
    <row r="46" spans="1:11" ht="15" x14ac:dyDescent="0.15">
      <c r="A46" s="18" t="s">
        <v>16</v>
      </c>
      <c r="B46" s="19">
        <f>SUM(B44:B45)</f>
        <v>60922</v>
      </c>
    </row>
  </sheetData>
  <mergeCells count="24">
    <mergeCell ref="H24:H25"/>
    <mergeCell ref="A24:A25"/>
    <mergeCell ref="B24:B25"/>
    <mergeCell ref="C24:C25"/>
    <mergeCell ref="D24:D25"/>
    <mergeCell ref="E24:E25"/>
    <mergeCell ref="F24:F25"/>
    <mergeCell ref="G24:G25"/>
    <mergeCell ref="D3:F3"/>
    <mergeCell ref="B3:C3"/>
    <mergeCell ref="A4:A5"/>
    <mergeCell ref="H4:H5"/>
    <mergeCell ref="A21:A22"/>
    <mergeCell ref="H21:H22"/>
    <mergeCell ref="B4:C4"/>
    <mergeCell ref="D4:F4"/>
    <mergeCell ref="H10:H11"/>
    <mergeCell ref="B21:C21"/>
    <mergeCell ref="D21:F21"/>
    <mergeCell ref="B10:B11"/>
    <mergeCell ref="C10:C11"/>
    <mergeCell ref="D10:D11"/>
    <mergeCell ref="E10:E11"/>
    <mergeCell ref="F10:F11"/>
  </mergeCells>
  <phoneticPr fontId="1" type="noConversion"/>
  <pageMargins left="0.75" right="0.25" top="0.75" bottom="0.75" header="0.3" footer="0.3"/>
  <pageSetup scale="75" fitToHeight="0" orientation="landscape" r:id="rId1"/>
  <headerFooter>
    <oddHeader>&amp;RBeckwitt, Colin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manjit</dc:creator>
  <cp:lastModifiedBy>Badoi Phan</cp:lastModifiedBy>
  <cp:lastPrinted>2020-03-11T16:23:47Z</cp:lastPrinted>
  <dcterms:created xsi:type="dcterms:W3CDTF">2007-08-01T14:51:17Z</dcterms:created>
  <dcterms:modified xsi:type="dcterms:W3CDTF">2020-12-09T01:50:52Z</dcterms:modified>
</cp:coreProperties>
</file>